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utkast budsjett" sheetId="1" r:id="rId4"/>
  </sheets>
  <definedNames/>
  <calcPr/>
  <extLst>
    <ext uri="GoogleSheetsCustomDataVersion2">
      <go:sheetsCustomData xmlns:go="http://customooxmlschemas.google.com/" r:id="rId5" roundtripDataChecksum="DY7Pa7qc6gtkiyVNG80T8Ckt/s3caIedH3xMtvUWjBE="/>
    </ext>
  </extLst>
</workbook>
</file>

<file path=xl/sharedStrings.xml><?xml version="1.0" encoding="utf-8"?>
<sst xmlns="http://schemas.openxmlformats.org/spreadsheetml/2006/main" count="130" uniqueCount="127">
  <si>
    <t xml:space="preserve"> </t>
  </si>
  <si>
    <t>Forslag</t>
  </si>
  <si>
    <t>VT-Midler</t>
  </si>
  <si>
    <t>Fordelingsforslag - Kan forekomme noen mindre justeringer og mer detaljer senere</t>
  </si>
  <si>
    <t>Generell drift</t>
  </si>
  <si>
    <t>Tappetårnet</t>
  </si>
  <si>
    <t>Regimet</t>
  </si>
  <si>
    <t>Arrangements-
utvalget</t>
  </si>
  <si>
    <t>Ledelsen + Medieavdelingen</t>
  </si>
  <si>
    <t>Studentfestivalen i Oslo</t>
  </si>
  <si>
    <t>Midler som disponeres av styret</t>
  </si>
  <si>
    <t>Vårgalla</t>
  </si>
  <si>
    <t xml:space="preserve">Grisefest </t>
  </si>
  <si>
    <t>Kommentar</t>
  </si>
  <si>
    <t>DRIFTSINNTEKTER</t>
  </si>
  <si>
    <t>SALGSINNTEKTER</t>
  </si>
  <si>
    <t>SALGSINNTEKT, AVGIFTSPLIKTIG</t>
  </si>
  <si>
    <t>10 000</t>
  </si>
  <si>
    <t>Merchandise, sangbøker og diverse salg</t>
  </si>
  <si>
    <t>SALG, MEDLEMSKAP</t>
  </si>
  <si>
    <t>BILLETTINNTEKTER</t>
  </si>
  <si>
    <t>Galla, konserter og andre arrangementer</t>
  </si>
  <si>
    <t>TILSKUDD/STØTTE</t>
  </si>
  <si>
    <t>Velferdstinget Oslo og Akershus</t>
  </si>
  <si>
    <t>Stiftelsen Chateau Neuf og Heftys legat</t>
  </si>
  <si>
    <t>Universitetet i Oslo</t>
  </si>
  <si>
    <t>Lønn, AGA, feriepengar og pensjon til slottsmesterene (UiO dekker kostnadene til slottsmesterordningen)</t>
  </si>
  <si>
    <t>Momskompensasjon</t>
  </si>
  <si>
    <t>8% av totale driftskostnader inntil 5 millioner. 6% av driftskostnader over 5 millioner.</t>
  </si>
  <si>
    <t>Annen støtte</t>
  </si>
  <si>
    <t>SUM SALGSINNTEKTER</t>
  </si>
  <si>
    <t>ANNEN DRIFTSINNTEKT</t>
  </si>
  <si>
    <t>GRASROTANDEL NORSK TIPPING</t>
  </si>
  <si>
    <t>SUM ANNEN DRIFTSINNTEKT</t>
  </si>
  <si>
    <t>SUM INNTEKTER</t>
  </si>
  <si>
    <t>VAREKOSTNAD</t>
  </si>
  <si>
    <t>INNKJØP AV VARER FOR VIDERESALG</t>
  </si>
  <si>
    <t>Innkjøp av diverse merchandise for salg</t>
  </si>
  <si>
    <t>SUM VAREKOSTNAD</t>
  </si>
  <si>
    <t>DRIFTSKOSTNADER</t>
  </si>
  <si>
    <t>LØNNSKOSTNAD</t>
  </si>
  <si>
    <t>LØNN FAST ANSATTE</t>
  </si>
  <si>
    <t>Daglig leder (30%) + estimert lønnsjustering på 5% fra 01.04.25</t>
  </si>
  <si>
    <t>LØNN SLOTTSMESTER</t>
  </si>
  <si>
    <t>Slottsmestere + sikkerhetssjef (25%) + estimerst lønnsjustering på 5% fra 01.04.25.Tilskuddet fra UiO dekker denne posten.</t>
  </si>
  <si>
    <t>HONORARER</t>
  </si>
  <si>
    <t xml:space="preserve">Direktør (100%) i 13 mnd , formand (40%) og økonomiansvarlig (20%)  i 12 mnd på statens lønnstrinn 19 + honorar til STUDiO-styret. (estimert justering på 5% 9/12 måneder) </t>
  </si>
  <si>
    <t>FERIEPENGER</t>
  </si>
  <si>
    <t>12% av all lønn. 
Tilskudd frå UiO dekker slottsmester-del av denne posten.</t>
  </si>
  <si>
    <t>ARBEIDSGIVERAVGIFT</t>
  </si>
  <si>
    <t>14,1 % av all lønn. 
Tilskudd frå UiO dekker slottsmester-del av denne posten.</t>
  </si>
  <si>
    <t>ARBEIDSGIVERAVGIFT AV OPPTJENTE FERIEPENGER</t>
  </si>
  <si>
    <t>14,1 % av alle feriepengar. 
Tilskudd frå UiO dekker slottsmester-del av denne posten.</t>
  </si>
  <si>
    <t>JOBBMAT/OVERTIDSMAT</t>
  </si>
  <si>
    <t>Mat til frivillige på skift. KPI justert med 3% fra 2024.</t>
  </si>
  <si>
    <t>OTP (obligatorisk tjenestepensjon)</t>
  </si>
  <si>
    <t>2% av all lønn. 
Tilskudd frå UiO dekker slottsmester-del av denne posten.</t>
  </si>
  <si>
    <t>ANNEN PERSONALKOSTNAD</t>
  </si>
  <si>
    <t>Drift: Diverse annen personalkostnad. 
Alle andre: Godtgjersle (bongar) til frivillige på skift.</t>
  </si>
  <si>
    <t>INTERNE ARR - SOSIALT</t>
  </si>
  <si>
    <t xml:space="preserve">Drift: Sommerfest og julehygge for ansatte
Utvalga + STUDiO: 150 kr mnd per aktiv (estimert antall). 
Styret: Stryttetur x2, knabbejuletrefest, vårgalla, grisefest og andre interne arrangement. </t>
  </si>
  <si>
    <t>REKRUTTERING</t>
  </si>
  <si>
    <r>
      <rPr>
        <rFont val="Arial"/>
        <color theme="1"/>
        <sz val="10.0"/>
      </rPr>
      <t xml:space="preserve">Drift: Jobbannonser på </t>
    </r>
    <r>
      <rPr>
        <rFont val="Arial"/>
        <color rgb="FF000000"/>
        <sz val="10.0"/>
      </rPr>
      <t>finn.no</t>
    </r>
    <r>
      <rPr>
        <rFont val="Arial"/>
        <color theme="1"/>
        <sz val="10.0"/>
      </rPr>
      <t>. 
Utvalg og andre: Diverse kostnader til rekruttering; flyers, roll-ups, annet gøy.</t>
    </r>
  </si>
  <si>
    <t>TRANSPORTREFUSJON</t>
  </si>
  <si>
    <t>SUM LØNNSKOSTNAD</t>
  </si>
  <si>
    <t>AVSKRIVING PÅ VARIGE DRIFTSMIDLER OG IMMATERIELLE EIENDELER</t>
  </si>
  <si>
    <t>AVSKRIVING PÅ INVENTAR</t>
  </si>
  <si>
    <t>Avskriving på ulike større innkjøp av inventar dei siste 5 åra.</t>
  </si>
  <si>
    <t>AVSKRIVING PÅ IMMATERIELLE EIENDELER</t>
  </si>
  <si>
    <t>Avskriving på utvikling av Galtinn.</t>
  </si>
  <si>
    <t>SUM AVSKRIVINGER</t>
  </si>
  <si>
    <t>ANNEN DRIFTSKOSTNAD</t>
  </si>
  <si>
    <t>RENHOLD</t>
  </si>
  <si>
    <t>UiO dekker generelt renhold på bygget. Denne posten skal kun dekke ekstraordinært renhold.</t>
  </si>
  <si>
    <t>LEIE DATASYSTEMER</t>
  </si>
  <si>
    <t>Arbeidsgiverhåndboken Virke (x kr), Tripletex (x kr), Adobe (x kr), Singa (x kr)</t>
  </si>
  <si>
    <t>INVENTAR</t>
  </si>
  <si>
    <t xml:space="preserve">Diverse inventar gjennom året. </t>
  </si>
  <si>
    <t>DRIFTSMATERIALE</t>
  </si>
  <si>
    <t>Diverse annet småmateriell til drift.</t>
  </si>
  <si>
    <t>ARBEIDSKLÆR OG VERNEUTSTYR</t>
  </si>
  <si>
    <t>Drift: Sko og uniform til slottsmestere. 
Styret: Frivillig-T-skjorter som skal brukes hele året inkl studio</t>
  </si>
  <si>
    <t>REPARASJON OG VEDLIKEHOLD BYGNINGER</t>
  </si>
  <si>
    <t>Påbegynnelse av studentkantine, utredninger, planlegging og oppgradering avtrekk- og ventilasjonssystem</t>
  </si>
  <si>
    <t>HONORAR REVISJON</t>
  </si>
  <si>
    <t>Dette er vi pålagt. Tatt utgangspunkt i sum for 2024 med en liten oppjustering.</t>
  </si>
  <si>
    <t>HONORAR REGNSKAP</t>
  </si>
  <si>
    <t>KONTORREKVISITA</t>
  </si>
  <si>
    <t>Penner, sakser og annet div kontorutstyr.</t>
  </si>
  <si>
    <t>DATA/EDB-KOSTNAD</t>
  </si>
  <si>
    <t>Domener (cirka x kr) + diverse oppgradering og vedlikehold av EDB på huset.</t>
  </si>
  <si>
    <t>MØTE, KURS, OPPDATERING O.L.</t>
  </si>
  <si>
    <t>Drift: Kursing slottsmester (dekkes av UiO) og diverse
Styret: Møtemat + eventuell generell kursing av aktive.</t>
  </si>
  <si>
    <t>TELEFON</t>
  </si>
  <si>
    <t>Slottsmester-telefonen - abonnement og forsikring.</t>
  </si>
  <si>
    <t>REISEKOSTNAD, ikke oppgavepliktig</t>
  </si>
  <si>
    <t>Drift: Arrangørkonferansen NKA. 
Styret: Reise til gallaer hos andre studentersamfund og venneforeninger i Norden.</t>
  </si>
  <si>
    <t>REKLAMEKOSTNAD</t>
  </si>
  <si>
    <t>Facebook- og instagrampromotering + eventuell annonsering i aviser, tidsskifter m.m.</t>
  </si>
  <si>
    <t>KONTINGENT, fradragsberettiget</t>
  </si>
  <si>
    <t>Virke (x kr), NKA (x kr)</t>
  </si>
  <si>
    <t>GAVE, fradragsberettiget</t>
  </si>
  <si>
    <t>Styret: Gaver til andre studentersamfund, krans til 17. mai + blomster til avdød alumni</t>
  </si>
  <si>
    <t>FORSIKRINGSPREMIE</t>
  </si>
  <si>
    <t>Dette er vi pålagt. Yrkesskadeforsikring, frivilligforsikring og tingforsikring.</t>
  </si>
  <si>
    <t>LISENSAVGIFT OG ROYALTIES</t>
  </si>
  <si>
    <t>TONO-avgifter (pålagt).</t>
  </si>
  <si>
    <t>FORDELINGSNØKKEL</t>
  </si>
  <si>
    <t>Foreninger som søker sammen med DNS til Velferdstinget.</t>
  </si>
  <si>
    <t>Cinema Neuf</t>
  </si>
  <si>
    <t>Teater Neuf</t>
  </si>
  <si>
    <t>Konsertforeningen Betong</t>
  </si>
  <si>
    <t>Ved vedtakelse av innlemming som utvalg i DNS vil denne summen reflekteres i hovedbudsjettet i egen underkategori for Konsertforeningen Betong</t>
  </si>
  <si>
    <t>ARRANGEMENT, HONORAR</t>
  </si>
  <si>
    <t>Honorar til artister og utøvere på arrangement, inkludert bonger til quizmastere, bingoverter o.l.</t>
  </si>
  <si>
    <t>ANDRE ARRANGEMENTSKOSTNADER</t>
  </si>
  <si>
    <t>BANK OG KORTGEBYRER</t>
  </si>
  <si>
    <t>SUM ANNEN DRIFTSKOSTNAD</t>
  </si>
  <si>
    <t>SUM DRIFTSKOSTNADER</t>
  </si>
  <si>
    <t>DRIFTSRESULTAT</t>
  </si>
  <si>
    <t>FINANSINNTEKTER OG FINANSKOSTNADER</t>
  </si>
  <si>
    <t>FINANSKOSTNADER</t>
  </si>
  <si>
    <t>LEVERANDØRRENTE</t>
  </si>
  <si>
    <t>SUM FINANSKOSTNADER</t>
  </si>
  <si>
    <t>ORDINÆRT RESULTAT FØR SKATTEKOSTNAD</t>
  </si>
  <si>
    <t>ORDINÆRT RESULTAT</t>
  </si>
  <si>
    <t>ÅRSRESULTAT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</si>
</sst>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r-414]"/>
  </numFmts>
  <fonts count="13">
    <font>
      <sz val="10.0"/>
      <color rgb="FF000000"/>
      <name val="Aptos Narrow"/>
      <scheme val="minor"/>
    </font>
    <font>
      <b/>
      <sz val="12.0"/>
      <color theme="1"/>
      <name val="Arial"/>
    </font>
    <font>
      <sz val="10.0"/>
      <color theme="1"/>
      <name val="Arial"/>
    </font>
    <font>
      <b/>
      <sz val="12.0"/>
      <color rgb="FF000000"/>
      <name val="Arial"/>
    </font>
    <font/>
    <font>
      <b/>
      <sz val="10.0"/>
      <color theme="1"/>
      <name val="Arial"/>
    </font>
    <font>
      <sz val="10.0"/>
      <color rgb="FF000000"/>
      <name val="Arial"/>
    </font>
    <font>
      <sz val="8.0"/>
      <color theme="1"/>
      <name val="Arial"/>
    </font>
    <font>
      <sz val="8.0"/>
      <color rgb="FF000000"/>
      <name val="Arial"/>
    </font>
    <font>
      <sz val="8.0"/>
      <color rgb="FFFF0000"/>
      <name val="Arial"/>
    </font>
    <font>
      <sz val="10.0"/>
      <color rgb="FFFF0000"/>
      <name val="Arial"/>
    </font>
    <font>
      <sz val="10.0"/>
      <color rgb="FF222222"/>
      <name val="Arial"/>
    </font>
    <font>
      <b/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</fills>
  <borders count="27">
    <border/>
    <border>
      <left/>
      <right/>
      <top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vertical="center"/>
    </xf>
    <xf borderId="3" fillId="2" fontId="1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left" readingOrder="0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2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vertical="center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2" fillId="3" fontId="2" numFmtId="164" xfId="0" applyAlignment="1" applyBorder="1" applyFill="1" applyFont="1" applyNumberFormat="1">
      <alignment vertical="center"/>
    </xf>
    <xf borderId="13" fillId="0" fontId="2" numFmtId="164" xfId="0" applyAlignment="1" applyBorder="1" applyFont="1" applyNumberFormat="1">
      <alignment vertical="center"/>
    </xf>
    <xf borderId="0" fillId="0" fontId="2" numFmtId="164" xfId="0" applyAlignment="1" applyFont="1" applyNumberFormat="1">
      <alignment vertical="center"/>
    </xf>
    <xf borderId="14" fillId="0" fontId="2" numFmtId="164" xfId="0" applyAlignment="1" applyBorder="1" applyFont="1" applyNumberFormat="1">
      <alignment vertical="center"/>
    </xf>
    <xf borderId="12" fillId="4" fontId="2" numFmtId="0" xfId="0" applyAlignment="1" applyBorder="1" applyFill="1" applyFont="1">
      <alignment vertical="center"/>
    </xf>
    <xf borderId="11" fillId="2" fontId="2" numFmtId="0" xfId="0" applyAlignment="1" applyBorder="1" applyFont="1">
      <alignment vertical="center"/>
    </xf>
    <xf borderId="12" fillId="2" fontId="1" numFmtId="0" xfId="0" applyAlignment="1" applyBorder="1" applyFont="1">
      <alignment vertical="center"/>
    </xf>
    <xf borderId="12" fillId="2" fontId="2" numFmtId="164" xfId="0" applyAlignment="1" applyBorder="1" applyFont="1" applyNumberFormat="1">
      <alignment vertical="center"/>
    </xf>
    <xf borderId="11" fillId="2" fontId="2" numFmtId="164" xfId="0" applyAlignment="1" applyBorder="1" applyFont="1" applyNumberFormat="1">
      <alignment vertical="center"/>
    </xf>
    <xf borderId="15" fillId="2" fontId="2" numFmtId="164" xfId="0" applyAlignment="1" applyBorder="1" applyFont="1" applyNumberFormat="1">
      <alignment vertical="center"/>
    </xf>
    <xf borderId="12" fillId="2" fontId="2" numFmtId="0" xfId="0" applyAlignment="1" applyBorder="1" applyFont="1">
      <alignment vertical="center"/>
    </xf>
    <xf borderId="11" fillId="4" fontId="2" numFmtId="0" xfId="0" applyAlignment="1" applyBorder="1" applyFont="1">
      <alignment vertical="center"/>
    </xf>
    <xf borderId="12" fillId="4" fontId="5" numFmtId="0" xfId="0" applyAlignment="1" applyBorder="1" applyFont="1">
      <alignment vertical="center"/>
    </xf>
    <xf borderId="12" fillId="4" fontId="2" numFmtId="164" xfId="0" applyAlignment="1" applyBorder="1" applyFont="1" applyNumberFormat="1">
      <alignment vertical="center"/>
    </xf>
    <xf borderId="11" fillId="4" fontId="2" numFmtId="164" xfId="0" applyAlignment="1" applyBorder="1" applyFont="1" applyNumberFormat="1">
      <alignment vertical="center"/>
    </xf>
    <xf borderId="0" fillId="0" fontId="2" numFmtId="0" xfId="0" applyAlignment="1" applyFont="1">
      <alignment horizontal="center" vertical="center"/>
    </xf>
    <xf borderId="16" fillId="0" fontId="2" numFmtId="0" xfId="0" applyAlignment="1" applyBorder="1" applyFont="1">
      <alignment vertical="center"/>
    </xf>
    <xf borderId="17" fillId="3" fontId="2" numFmtId="164" xfId="0" applyAlignment="1" applyBorder="1" applyFont="1" applyNumberFormat="1">
      <alignment horizontal="right" vertical="center"/>
    </xf>
    <xf borderId="0" fillId="0" fontId="2" numFmtId="164" xfId="0" applyAlignment="1" applyFont="1" applyNumberFormat="1">
      <alignment horizontal="right" vertical="center"/>
    </xf>
    <xf borderId="16" fillId="0" fontId="2" numFmtId="164" xfId="0" applyAlignment="1" applyBorder="1" applyFont="1" applyNumberFormat="1">
      <alignment horizontal="right" vertical="center"/>
    </xf>
    <xf borderId="17" fillId="4" fontId="2" numFmtId="0" xfId="0" applyAlignment="1" applyBorder="1" applyFont="1">
      <alignment vertical="center"/>
    </xf>
    <xf borderId="17" fillId="3" fontId="6" numFmtId="164" xfId="0" applyAlignment="1" applyBorder="1" applyFont="1" applyNumberFormat="1">
      <alignment horizontal="right" vertical="center"/>
    </xf>
    <xf borderId="16" fillId="0" fontId="7" numFmtId="0" xfId="0" applyAlignment="1" applyBorder="1" applyFont="1">
      <alignment vertical="center"/>
    </xf>
    <xf borderId="17" fillId="3" fontId="8" numFmtId="164" xfId="0" applyAlignment="1" applyBorder="1" applyFont="1" applyNumberFormat="1">
      <alignment horizontal="right" vertical="center"/>
    </xf>
    <xf borderId="17" fillId="3" fontId="7" numFmtId="164" xfId="0" applyAlignment="1" applyBorder="1" applyFont="1" applyNumberFormat="1">
      <alignment horizontal="right" vertical="center"/>
    </xf>
    <xf borderId="0" fillId="0" fontId="7" numFmtId="164" xfId="0" applyAlignment="1" applyFont="1" applyNumberFormat="1">
      <alignment horizontal="right" vertical="center"/>
    </xf>
    <xf borderId="16" fillId="0" fontId="7" numFmtId="164" xfId="0" applyAlignment="1" applyBorder="1" applyFont="1" applyNumberFormat="1">
      <alignment horizontal="right" vertical="center"/>
    </xf>
    <xf borderId="16" fillId="0" fontId="2" numFmtId="164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right" vertical="center"/>
    </xf>
    <xf borderId="14" fillId="0" fontId="7" numFmtId="0" xfId="0" applyAlignment="1" applyBorder="1" applyFont="1">
      <alignment vertical="center"/>
    </xf>
    <xf borderId="12" fillId="3" fontId="7" numFmtId="164" xfId="0" applyAlignment="1" applyBorder="1" applyFont="1" applyNumberFormat="1">
      <alignment horizontal="right" readingOrder="0" vertical="center"/>
    </xf>
    <xf borderId="12" fillId="3" fontId="7" numFmtId="164" xfId="0" applyAlignment="1" applyBorder="1" applyFont="1" applyNumberFormat="1">
      <alignment horizontal="right" vertical="center"/>
    </xf>
    <xf borderId="13" fillId="0" fontId="7" numFmtId="164" xfId="0" applyAlignment="1" applyBorder="1" applyFont="1" applyNumberFormat="1">
      <alignment horizontal="right" vertical="center"/>
    </xf>
    <xf borderId="12" fillId="4" fontId="5" numFmtId="164" xfId="0" applyAlignment="1" applyBorder="1" applyFont="1" applyNumberFormat="1">
      <alignment horizontal="right" vertical="center"/>
    </xf>
    <xf borderId="11" fillId="4" fontId="5" numFmtId="164" xfId="0" applyAlignment="1" applyBorder="1" applyFont="1" applyNumberFormat="1">
      <alignment horizontal="right" vertical="center"/>
    </xf>
    <xf borderId="15" fillId="4" fontId="5" numFmtId="164" xfId="0" applyAlignment="1" applyBorder="1" applyFont="1" applyNumberFormat="1">
      <alignment horizontal="right" vertical="center"/>
    </xf>
    <xf borderId="15" fillId="4" fontId="2" numFmtId="164" xfId="0" applyAlignment="1" applyBorder="1" applyFont="1" applyNumberFormat="1">
      <alignment vertical="center"/>
    </xf>
    <xf borderId="13" fillId="0" fontId="2" numFmtId="0" xfId="0" applyAlignment="1" applyBorder="1" applyFont="1">
      <alignment horizontal="center" vertical="center"/>
    </xf>
    <xf borderId="12" fillId="3" fontId="2" numFmtId="164" xfId="0" applyAlignment="1" applyBorder="1" applyFont="1" applyNumberFormat="1">
      <alignment horizontal="right" vertical="center"/>
    </xf>
    <xf borderId="13" fillId="0" fontId="2" numFmtId="164" xfId="0" applyAlignment="1" applyBorder="1" applyFont="1" applyNumberFormat="1">
      <alignment horizontal="right" vertical="center"/>
    </xf>
    <xf borderId="12" fillId="2" fontId="5" numFmtId="0" xfId="0" applyAlignment="1" applyBorder="1" applyFont="1">
      <alignment vertical="center"/>
    </xf>
    <xf borderId="12" fillId="2" fontId="5" numFmtId="164" xfId="0" applyAlignment="1" applyBorder="1" applyFont="1" applyNumberFormat="1">
      <alignment horizontal="right" vertical="center"/>
    </xf>
    <xf borderId="11" fillId="2" fontId="5" numFmtId="164" xfId="0" applyAlignment="1" applyBorder="1" applyFont="1" applyNumberFormat="1">
      <alignment horizontal="right" vertical="center"/>
    </xf>
    <xf borderId="15" fillId="2" fontId="5" numFmtId="164" xfId="0" applyAlignment="1" applyBorder="1" applyFont="1" applyNumberFormat="1">
      <alignment horizontal="right" vertical="center"/>
    </xf>
    <xf borderId="17" fillId="3" fontId="2" numFmtId="164" xfId="0" applyAlignment="1" applyBorder="1" applyFont="1" applyNumberFormat="1">
      <alignment vertical="center"/>
    </xf>
    <xf borderId="15" fillId="2" fontId="2" numFmtId="0" xfId="0" applyAlignment="1" applyBorder="1" applyFont="1">
      <alignment vertical="center"/>
    </xf>
    <xf borderId="18" fillId="2" fontId="1" numFmtId="0" xfId="0" applyAlignment="1" applyBorder="1" applyFont="1">
      <alignment vertical="center"/>
    </xf>
    <xf borderId="18" fillId="2" fontId="2" numFmtId="164" xfId="0" applyAlignment="1" applyBorder="1" applyFont="1" applyNumberFormat="1">
      <alignment vertical="center"/>
    </xf>
    <xf borderId="19" fillId="4" fontId="2" numFmtId="0" xfId="0" applyAlignment="1" applyBorder="1" applyFont="1">
      <alignment vertical="center"/>
    </xf>
    <xf borderId="15" fillId="4" fontId="2" numFmtId="0" xfId="0" applyAlignment="1" applyBorder="1" applyFont="1">
      <alignment vertical="center"/>
    </xf>
    <xf borderId="18" fillId="4" fontId="5" numFmtId="0" xfId="0" applyAlignment="1" applyBorder="1" applyFont="1">
      <alignment vertical="center"/>
    </xf>
    <xf borderId="18" fillId="4" fontId="5" numFmtId="164" xfId="0" applyAlignment="1" applyBorder="1" applyFont="1" applyNumberFormat="1">
      <alignment vertical="center"/>
    </xf>
    <xf borderId="18" fillId="4" fontId="2" numFmtId="164" xfId="0" applyAlignment="1" applyBorder="1" applyFont="1" applyNumberFormat="1">
      <alignment vertical="center"/>
    </xf>
    <xf borderId="18" fillId="4" fontId="2" numFmtId="0" xfId="0" applyAlignment="1" applyBorder="1" applyFont="1">
      <alignment vertical="center"/>
    </xf>
    <xf borderId="12" fillId="4" fontId="6" numFmtId="164" xfId="0" applyAlignment="1" applyBorder="1" applyFont="1" applyNumberFormat="1">
      <alignment vertical="center"/>
    </xf>
    <xf borderId="0" fillId="0" fontId="2" numFmtId="0" xfId="0" applyAlignment="1" applyFont="1">
      <alignment horizontal="right" vertical="center"/>
    </xf>
    <xf borderId="17" fillId="3" fontId="6" numFmtId="164" xfId="0" applyAlignment="1" applyBorder="1" applyFont="1" applyNumberFormat="1">
      <alignment horizontal="right" readingOrder="0" vertical="center"/>
    </xf>
    <xf borderId="17" fillId="3" fontId="10" numFmtId="164" xfId="0" applyAlignment="1" applyBorder="1" applyFont="1" applyNumberFormat="1">
      <alignment horizontal="right" vertical="center"/>
    </xf>
    <xf borderId="17" fillId="4" fontId="2" numFmtId="0" xfId="0" applyAlignment="1" applyBorder="1" applyFont="1">
      <alignment readingOrder="0" vertical="center"/>
    </xf>
    <xf borderId="0" fillId="0" fontId="10" numFmtId="164" xfId="0" applyAlignment="1" applyFont="1" applyNumberFormat="1">
      <alignment horizontal="right" vertical="center"/>
    </xf>
    <xf borderId="0" fillId="0" fontId="6" numFmtId="164" xfId="0" applyAlignment="1" applyFont="1" applyNumberFormat="1">
      <alignment horizontal="right" readingOrder="0" vertical="center"/>
    </xf>
    <xf borderId="0" fillId="0" fontId="6" numFmtId="164" xfId="0" applyAlignment="1" applyFont="1" applyNumberFormat="1">
      <alignment readingOrder="0" vertical="center"/>
    </xf>
    <xf borderId="17" fillId="3" fontId="2" numFmtId="164" xfId="0" applyAlignment="1" applyBorder="1" applyFont="1" applyNumberFormat="1">
      <alignment horizontal="right" readingOrder="0" vertical="center"/>
    </xf>
    <xf borderId="0" fillId="0" fontId="2" numFmtId="164" xfId="0" applyAlignment="1" applyFont="1" applyNumberFormat="1">
      <alignment horizontal="right" readingOrder="0" vertical="center"/>
    </xf>
    <xf borderId="0" fillId="0" fontId="2" numFmtId="164" xfId="0" applyAlignment="1" applyFont="1" applyNumberFormat="1">
      <alignment readingOrder="0" vertical="center"/>
    </xf>
    <xf borderId="7" fillId="5" fontId="11" numFmtId="0" xfId="0" applyAlignment="1" applyBorder="1" applyFill="1" applyFont="1">
      <alignment horizontal="right" vertical="center"/>
    </xf>
    <xf borderId="20" fillId="0" fontId="2" numFmtId="164" xfId="0" applyAlignment="1" applyBorder="1" applyFont="1" applyNumberFormat="1">
      <alignment horizontal="right" vertical="center"/>
    </xf>
    <xf borderId="16" fillId="0" fontId="6" numFmtId="164" xfId="0" applyAlignment="1" applyBorder="1" applyFont="1" applyNumberFormat="1">
      <alignment horizontal="right" readingOrder="0" vertical="center"/>
    </xf>
    <xf borderId="13" fillId="0" fontId="2" numFmtId="0" xfId="0" applyAlignment="1" applyBorder="1" applyFont="1">
      <alignment horizontal="right" vertical="center"/>
    </xf>
    <xf borderId="12" fillId="3" fontId="2" numFmtId="164" xfId="0" applyAlignment="1" applyBorder="1" applyFont="1" applyNumberFormat="1">
      <alignment horizontal="right" readingOrder="0" vertical="center"/>
    </xf>
    <xf borderId="21" fillId="0" fontId="2" numFmtId="164" xfId="0" applyAlignment="1" applyBorder="1" applyFont="1" applyNumberFormat="1">
      <alignment horizontal="right" vertical="center"/>
    </xf>
    <xf borderId="7" fillId="4" fontId="5" numFmtId="164" xfId="0" applyAlignment="1" applyBorder="1" applyFont="1" applyNumberFormat="1">
      <alignment horizontal="right" vertical="center"/>
    </xf>
    <xf borderId="22" fillId="0" fontId="2" numFmtId="164" xfId="0" applyAlignment="1" applyBorder="1" applyFont="1" applyNumberFormat="1">
      <alignment vertical="center"/>
    </xf>
    <xf borderId="7" fillId="4" fontId="2" numFmtId="164" xfId="0" applyAlignment="1" applyBorder="1" applyFont="1" applyNumberFormat="1">
      <alignment vertical="center"/>
    </xf>
    <xf borderId="19" fillId="3" fontId="2" numFmtId="164" xfId="0" applyAlignment="1" applyBorder="1" applyFont="1" applyNumberFormat="1">
      <alignment horizontal="right" vertical="center"/>
    </xf>
    <xf borderId="23" fillId="0" fontId="2" numFmtId="164" xfId="0" applyAlignment="1" applyBorder="1" applyFont="1" applyNumberFormat="1">
      <alignment horizontal="right" vertical="center"/>
    </xf>
    <xf borderId="23" fillId="0" fontId="2" numFmtId="164" xfId="0" applyAlignment="1" applyBorder="1" applyFont="1" applyNumberFormat="1">
      <alignment vertical="center"/>
    </xf>
    <xf borderId="24" fillId="3" fontId="2" numFmtId="164" xfId="0" applyAlignment="1" applyBorder="1" applyFont="1" applyNumberFormat="1">
      <alignment horizontal="right" vertical="center"/>
    </xf>
    <xf borderId="25" fillId="3" fontId="2" numFmtId="164" xfId="0" applyAlignment="1" applyBorder="1" applyFont="1" applyNumberFormat="1">
      <alignment horizontal="right" vertical="center"/>
    </xf>
    <xf borderId="20" fillId="0" fontId="2" numFmtId="164" xfId="0" applyAlignment="1" applyBorder="1" applyFont="1" applyNumberFormat="1">
      <alignment vertical="center"/>
    </xf>
    <xf borderId="7" fillId="5" fontId="2" numFmtId="0" xfId="0" applyAlignment="1" applyBorder="1" applyFont="1">
      <alignment horizontal="center" vertical="center"/>
    </xf>
    <xf borderId="17" fillId="3" fontId="7" numFmtId="164" xfId="0" applyAlignment="1" applyBorder="1" applyFont="1" applyNumberFormat="1">
      <alignment horizontal="right" readingOrder="0" vertical="center"/>
    </xf>
    <xf borderId="11" fillId="5" fontId="2" numFmtId="0" xfId="0" applyAlignment="1" applyBorder="1" applyFont="1">
      <alignment horizontal="center" vertical="center"/>
    </xf>
    <xf borderId="12" fillId="5" fontId="2" numFmtId="0" xfId="0" applyAlignment="1" applyBorder="1" applyFont="1">
      <alignment vertical="center"/>
    </xf>
    <xf borderId="26" fillId="4" fontId="5" numFmtId="164" xfId="0" applyAlignment="1" applyBorder="1" applyFont="1" applyNumberFormat="1">
      <alignment horizontal="right" vertical="center"/>
    </xf>
    <xf borderId="11" fillId="6" fontId="2" numFmtId="0" xfId="0" applyAlignment="1" applyBorder="1" applyFill="1" applyFont="1">
      <alignment vertical="center"/>
    </xf>
    <xf borderId="12" fillId="6" fontId="12" numFmtId="0" xfId="0" applyAlignment="1" applyBorder="1" applyFont="1">
      <alignment vertical="center"/>
    </xf>
    <xf borderId="12" fillId="6" fontId="12" numFmtId="164" xfId="0" applyAlignment="1" applyBorder="1" applyFont="1" applyNumberFormat="1">
      <alignment horizontal="right" vertical="center"/>
    </xf>
    <xf borderId="11" fillId="6" fontId="12" numFmtId="164" xfId="0" applyAlignment="1" applyBorder="1" applyFont="1" applyNumberFormat="1">
      <alignment horizontal="right" vertical="center"/>
    </xf>
    <xf borderId="15" fillId="6" fontId="12" numFmtId="164" xfId="0" applyAlignment="1" applyBorder="1" applyFont="1" applyNumberFormat="1">
      <alignment horizontal="right" vertical="center"/>
    </xf>
    <xf borderId="12" fillId="6" fontId="2" numFmtId="164" xfId="0" applyAlignment="1" applyBorder="1" applyFont="1" applyNumberFormat="1">
      <alignment vertical="center"/>
    </xf>
    <xf borderId="7" fillId="6" fontId="2" numFmtId="0" xfId="0" applyAlignment="1" applyBorder="1" applyFont="1">
      <alignment vertical="center"/>
    </xf>
    <xf borderId="12" fillId="6" fontId="2" numFmtId="0" xfId="0" applyAlignment="1" applyBorder="1" applyFont="1">
      <alignment vertical="center"/>
    </xf>
    <xf borderId="12" fillId="7" fontId="2" numFmtId="164" xfId="0" applyAlignment="1" applyBorder="1" applyFill="1" applyFont="1" applyNumberFormat="1">
      <alignment vertical="center"/>
    </xf>
    <xf borderId="17" fillId="6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6.14"/>
    <col customWidth="1" min="2" max="2" width="69.0"/>
    <col customWidth="1" min="3" max="4" width="16.86"/>
    <col customWidth="1" min="5" max="5" width="15.86"/>
    <col customWidth="1" min="6" max="6" width="14.86"/>
    <col customWidth="1" min="7" max="7" width="14.43"/>
    <col customWidth="1" min="8" max="8" width="26.57"/>
    <col customWidth="1" min="9" max="9" width="23.0"/>
    <col customWidth="1" min="10" max="10" width="28.14"/>
    <col customWidth="1" min="11" max="11" width="38.86"/>
    <col customWidth="1" min="12" max="13" width="18.86"/>
    <col customWidth="1" min="14" max="14" width="117.57"/>
    <col customWidth="1" min="15" max="29" width="15.14"/>
  </cols>
  <sheetData>
    <row r="1" ht="15.75" customHeight="1">
      <c r="A1" s="1" t="s">
        <v>0</v>
      </c>
      <c r="B1" s="2"/>
      <c r="C1" s="3" t="s">
        <v>1</v>
      </c>
      <c r="D1" s="3" t="s">
        <v>2</v>
      </c>
      <c r="E1" s="4" t="s">
        <v>3</v>
      </c>
      <c r="F1" s="5"/>
      <c r="G1" s="5"/>
      <c r="H1" s="5"/>
      <c r="I1" s="5"/>
      <c r="J1" s="6"/>
      <c r="K1" s="7"/>
      <c r="L1" s="7"/>
      <c r="M1" s="7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33.0" customHeight="1">
      <c r="A2" s="9"/>
      <c r="B2" s="10"/>
      <c r="C2" s="11"/>
      <c r="D2" s="11"/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3" t="s">
        <v>12</v>
      </c>
      <c r="N2" s="14" t="s">
        <v>13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3.5" customHeight="1">
      <c r="A3" s="15"/>
      <c r="B3" s="16"/>
      <c r="C3" s="17"/>
      <c r="D3" s="17"/>
      <c r="E3" s="18"/>
      <c r="F3" s="18"/>
      <c r="G3" s="18"/>
      <c r="H3" s="18"/>
      <c r="I3" s="18"/>
      <c r="J3" s="18"/>
      <c r="K3" s="19"/>
      <c r="L3" s="19"/>
      <c r="M3" s="20"/>
      <c r="N3" s="21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15.75" customHeight="1">
      <c r="A4" s="22"/>
      <c r="B4" s="23" t="s">
        <v>14</v>
      </c>
      <c r="C4" s="24"/>
      <c r="D4" s="24"/>
      <c r="E4" s="25"/>
      <c r="F4" s="25"/>
      <c r="G4" s="25"/>
      <c r="H4" s="25"/>
      <c r="I4" s="25"/>
      <c r="J4" s="25"/>
      <c r="K4" s="26"/>
      <c r="L4" s="26"/>
      <c r="M4" s="24"/>
      <c r="N4" s="2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ht="15.75" customHeight="1">
      <c r="A5" s="28"/>
      <c r="B5" s="29" t="s">
        <v>15</v>
      </c>
      <c r="C5" s="30"/>
      <c r="D5" s="30"/>
      <c r="E5" s="31"/>
      <c r="F5" s="31"/>
      <c r="G5" s="31"/>
      <c r="H5" s="31"/>
      <c r="I5" s="31"/>
      <c r="J5" s="31"/>
      <c r="K5" s="31"/>
      <c r="L5" s="31"/>
      <c r="M5" s="30"/>
      <c r="N5" s="2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ht="15.75" customHeight="1">
      <c r="A6" s="32">
        <v>3000.0</v>
      </c>
      <c r="B6" s="33" t="s">
        <v>16</v>
      </c>
      <c r="C6" s="34">
        <v>40000.0</v>
      </c>
      <c r="D6" s="34"/>
      <c r="E6" s="35"/>
      <c r="F6" s="35"/>
      <c r="G6" s="35"/>
      <c r="H6" s="35"/>
      <c r="I6" s="35"/>
      <c r="J6" s="19"/>
      <c r="K6" s="35"/>
      <c r="L6" s="35" t="s">
        <v>17</v>
      </c>
      <c r="M6" s="36"/>
      <c r="N6" s="37" t="s">
        <v>18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ht="15.75" customHeight="1">
      <c r="A7" s="32">
        <v>3201.0</v>
      </c>
      <c r="B7" s="33" t="s">
        <v>19</v>
      </c>
      <c r="C7" s="34">
        <v>60000.0</v>
      </c>
      <c r="D7" s="34"/>
      <c r="E7" s="35"/>
      <c r="F7" s="35"/>
      <c r="G7" s="35"/>
      <c r="H7" s="35"/>
      <c r="I7" s="35"/>
      <c r="J7" s="19"/>
      <c r="K7" s="35"/>
      <c r="L7" s="35"/>
      <c r="M7" s="36"/>
      <c r="N7" s="3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ht="15.75" customHeight="1">
      <c r="A8" s="32">
        <v>3202.0</v>
      </c>
      <c r="B8" s="33" t="s">
        <v>20</v>
      </c>
      <c r="C8" s="34">
        <v>250000.0</v>
      </c>
      <c r="D8" s="34"/>
      <c r="E8" s="19"/>
      <c r="F8" s="19"/>
      <c r="G8" s="19"/>
      <c r="H8" s="35"/>
      <c r="I8" s="19"/>
      <c r="J8" s="19"/>
      <c r="K8" s="35"/>
      <c r="L8" s="35">
        <v>150000.0</v>
      </c>
      <c r="M8" s="36"/>
      <c r="N8" s="37" t="s">
        <v>21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ht="15.75" customHeight="1">
      <c r="A9" s="32">
        <v>3203.0</v>
      </c>
      <c r="B9" s="33" t="s">
        <v>22</v>
      </c>
      <c r="C9" s="38">
        <f>C10+C11+C12+C13+C14</f>
        <v>6765431.216</v>
      </c>
      <c r="D9" s="34">
        <v>3000000.0</v>
      </c>
      <c r="E9" s="35"/>
      <c r="F9" s="35"/>
      <c r="G9" s="35"/>
      <c r="H9" s="35"/>
      <c r="I9" s="35"/>
      <c r="J9" s="35"/>
      <c r="K9" s="35"/>
      <c r="L9" s="35" t="s">
        <v>17</v>
      </c>
      <c r="M9" s="36"/>
      <c r="N9" s="3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8"/>
      <c r="B10" s="39" t="s">
        <v>23</v>
      </c>
      <c r="C10" s="40">
        <v>3000000.0</v>
      </c>
      <c r="D10" s="41">
        <v>3000000.0</v>
      </c>
      <c r="E10" s="42"/>
      <c r="F10" s="42"/>
      <c r="G10" s="42"/>
      <c r="H10" s="42"/>
      <c r="I10" s="42"/>
      <c r="J10" s="42"/>
      <c r="K10" s="42"/>
      <c r="L10" s="42"/>
      <c r="M10" s="43"/>
      <c r="N10" s="3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A11" s="8"/>
      <c r="B11" s="39" t="s">
        <v>24</v>
      </c>
      <c r="C11" s="41">
        <v>1000000.0</v>
      </c>
      <c r="D11" s="41"/>
      <c r="E11" s="42"/>
      <c r="F11" s="19"/>
      <c r="G11" s="19"/>
      <c r="H11" s="19"/>
      <c r="I11" s="19"/>
      <c r="J11" s="19"/>
      <c r="K11" s="19"/>
      <c r="L11" s="19"/>
      <c r="M11" s="44"/>
      <c r="N11" s="3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A12" s="8"/>
      <c r="B12" s="39" t="s">
        <v>25</v>
      </c>
      <c r="C12" s="41">
        <f>SUM(C31)</f>
        <v>1387137.5</v>
      </c>
      <c r="D12" s="41"/>
      <c r="E12" s="42"/>
      <c r="F12" s="19"/>
      <c r="G12" s="19"/>
      <c r="H12" s="19"/>
      <c r="I12" s="19"/>
      <c r="J12" s="19"/>
      <c r="K12" s="19"/>
      <c r="L12" s="19"/>
      <c r="M12" s="44"/>
      <c r="N12" s="37" t="s">
        <v>26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8"/>
      <c r="B13" s="39" t="s">
        <v>27</v>
      </c>
      <c r="C13" s="41">
        <f>5000000*0.08+(C77-5000000)*0.06</f>
        <v>528293.7158</v>
      </c>
      <c r="D13" s="41"/>
      <c r="E13" s="45"/>
      <c r="F13" s="19"/>
      <c r="G13" s="19"/>
      <c r="H13" s="19"/>
      <c r="I13" s="19"/>
      <c r="J13" s="19"/>
      <c r="K13" s="19"/>
      <c r="L13" s="19"/>
      <c r="M13" s="44"/>
      <c r="N13" s="37" t="s">
        <v>28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A14" s="15"/>
      <c r="B14" s="46" t="s">
        <v>29</v>
      </c>
      <c r="C14" s="47">
        <v>850000.0</v>
      </c>
      <c r="D14" s="48"/>
      <c r="E14" s="18"/>
      <c r="F14" s="18"/>
      <c r="G14" s="18"/>
      <c r="H14" s="18"/>
      <c r="I14" s="18"/>
      <c r="J14" s="49">
        <v>300000.0</v>
      </c>
      <c r="K14" s="19"/>
      <c r="L14" s="19"/>
      <c r="M14" s="20"/>
      <c r="N14" s="2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A15" s="28"/>
      <c r="B15" s="29" t="s">
        <v>30</v>
      </c>
      <c r="C15" s="50">
        <f t="shared" ref="C15:D15" si="1">C6+C9+C8+C7</f>
        <v>7115431.216</v>
      </c>
      <c r="D15" s="50">
        <f t="shared" si="1"/>
        <v>3000000</v>
      </c>
      <c r="E15" s="51"/>
      <c r="F15" s="51"/>
      <c r="G15" s="51"/>
      <c r="H15" s="51"/>
      <c r="I15" s="51"/>
      <c r="J15" s="51"/>
      <c r="K15" s="52"/>
      <c r="L15" s="52"/>
      <c r="M15" s="50"/>
      <c r="N15" s="2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15"/>
      <c r="B16" s="16"/>
      <c r="C16" s="17"/>
      <c r="D16" s="17"/>
      <c r="E16" s="18"/>
      <c r="F16" s="18"/>
      <c r="G16" s="18"/>
      <c r="H16" s="18"/>
      <c r="I16" s="18"/>
      <c r="J16" s="18"/>
      <c r="K16" s="19"/>
      <c r="L16" s="19"/>
      <c r="M16" s="20"/>
      <c r="N16" s="2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A17" s="28"/>
      <c r="B17" s="29" t="s">
        <v>31</v>
      </c>
      <c r="C17" s="30"/>
      <c r="D17" s="30"/>
      <c r="E17" s="31"/>
      <c r="F17" s="31"/>
      <c r="G17" s="31"/>
      <c r="H17" s="31"/>
      <c r="I17" s="31"/>
      <c r="J17" s="31"/>
      <c r="K17" s="53"/>
      <c r="L17" s="53"/>
      <c r="M17" s="30"/>
      <c r="N17" s="21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54">
        <v>3401.0</v>
      </c>
      <c r="B18" s="16" t="s">
        <v>32</v>
      </c>
      <c r="C18" s="55">
        <v>3000.0</v>
      </c>
      <c r="D18" s="55"/>
      <c r="E18" s="56"/>
      <c r="F18" s="18"/>
      <c r="G18" s="18"/>
      <c r="H18" s="18"/>
      <c r="I18" s="18"/>
      <c r="J18" s="18"/>
      <c r="K18" s="19"/>
      <c r="L18" s="19"/>
      <c r="M18" s="20"/>
      <c r="N18" s="21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28"/>
      <c r="B19" s="29" t="s">
        <v>33</v>
      </c>
      <c r="C19" s="50">
        <f>SUM(C18)</f>
        <v>3000</v>
      </c>
      <c r="D19" s="50"/>
      <c r="E19" s="51"/>
      <c r="F19" s="51"/>
      <c r="G19" s="51"/>
      <c r="H19" s="51"/>
      <c r="I19" s="51"/>
      <c r="J19" s="51"/>
      <c r="K19" s="52"/>
      <c r="L19" s="52"/>
      <c r="M19" s="50"/>
      <c r="N19" s="21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15"/>
      <c r="B20" s="16"/>
      <c r="C20" s="17"/>
      <c r="D20" s="17"/>
      <c r="E20" s="18"/>
      <c r="F20" s="18"/>
      <c r="G20" s="18"/>
      <c r="H20" s="18"/>
      <c r="I20" s="18"/>
      <c r="J20" s="18"/>
      <c r="K20" s="19"/>
      <c r="L20" s="19"/>
      <c r="M20" s="20"/>
      <c r="N20" s="2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22"/>
      <c r="B21" s="57" t="s">
        <v>34</v>
      </c>
      <c r="C21" s="58">
        <f t="shared" ref="C21:D21" si="2">SUM(C15+C19)</f>
        <v>7118431.216</v>
      </c>
      <c r="D21" s="58">
        <f t="shared" si="2"/>
        <v>3000000</v>
      </c>
      <c r="E21" s="59"/>
      <c r="F21" s="59"/>
      <c r="G21" s="59"/>
      <c r="H21" s="59"/>
      <c r="I21" s="59"/>
      <c r="J21" s="59"/>
      <c r="K21" s="60"/>
      <c r="L21" s="60"/>
      <c r="M21" s="58"/>
      <c r="N21" s="2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8"/>
      <c r="B22" s="33"/>
      <c r="C22" s="61"/>
      <c r="D22" s="61"/>
      <c r="E22" s="19"/>
      <c r="F22" s="19"/>
      <c r="G22" s="19"/>
      <c r="H22" s="19"/>
      <c r="I22" s="19"/>
      <c r="J22" s="19"/>
      <c r="K22" s="19"/>
      <c r="L22" s="19"/>
      <c r="M22" s="44"/>
      <c r="N22" s="2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62"/>
      <c r="B23" s="63" t="s">
        <v>35</v>
      </c>
      <c r="C23" s="64"/>
      <c r="D23" s="64"/>
      <c r="E23" s="26"/>
      <c r="F23" s="26"/>
      <c r="G23" s="26"/>
      <c r="H23" s="26"/>
      <c r="I23" s="26"/>
      <c r="J23" s="26"/>
      <c r="K23" s="26"/>
      <c r="L23" s="26"/>
      <c r="M23" s="64"/>
      <c r="N23" s="6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28"/>
      <c r="B24" s="29" t="s">
        <v>35</v>
      </c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0"/>
      <c r="N24" s="3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15.75" customHeight="1">
      <c r="A25" s="8">
        <v>4300.0</v>
      </c>
      <c r="B25" s="33" t="s">
        <v>36</v>
      </c>
      <c r="C25" s="61">
        <v>15000.0</v>
      </c>
      <c r="D25" s="61">
        <v>15000.0</v>
      </c>
      <c r="E25" s="19"/>
      <c r="F25" s="19"/>
      <c r="G25" s="19"/>
      <c r="H25" s="19"/>
      <c r="I25" s="19"/>
      <c r="J25" s="19"/>
      <c r="K25" s="19"/>
      <c r="L25" s="19"/>
      <c r="M25" s="19"/>
      <c r="N25" s="65" t="s">
        <v>37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66"/>
      <c r="B26" s="67" t="s">
        <v>38</v>
      </c>
      <c r="C26" s="68">
        <f t="shared" ref="C26:D26" si="3">SUM(C25)</f>
        <v>15000</v>
      </c>
      <c r="D26" s="68">
        <f t="shared" si="3"/>
        <v>15000</v>
      </c>
      <c r="E26" s="53"/>
      <c r="F26" s="53"/>
      <c r="G26" s="53"/>
      <c r="H26" s="53"/>
      <c r="I26" s="53"/>
      <c r="J26" s="53"/>
      <c r="K26" s="53"/>
      <c r="L26" s="53"/>
      <c r="M26" s="69"/>
      <c r="N26" s="70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15"/>
      <c r="B27" s="16"/>
      <c r="C27" s="17"/>
      <c r="D27" s="17"/>
      <c r="E27" s="18"/>
      <c r="F27" s="18"/>
      <c r="G27" s="18"/>
      <c r="H27" s="18"/>
      <c r="I27" s="18"/>
      <c r="J27" s="18"/>
      <c r="K27" s="19"/>
      <c r="L27" s="19"/>
      <c r="M27" s="20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22"/>
      <c r="B28" s="23" t="s">
        <v>39</v>
      </c>
      <c r="C28" s="24"/>
      <c r="D28" s="24"/>
      <c r="E28" s="25"/>
      <c r="F28" s="25"/>
      <c r="G28" s="25"/>
      <c r="H28" s="25"/>
      <c r="I28" s="25"/>
      <c r="J28" s="25"/>
      <c r="K28" s="26"/>
      <c r="L28" s="26"/>
      <c r="M28" s="24"/>
      <c r="N28" s="2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28"/>
      <c r="B29" s="29" t="s">
        <v>40</v>
      </c>
      <c r="C29" s="71"/>
      <c r="D29" s="30"/>
      <c r="E29" s="31"/>
      <c r="F29" s="31"/>
      <c r="G29" s="31"/>
      <c r="H29" s="31"/>
      <c r="I29" s="31"/>
      <c r="J29" s="31"/>
      <c r="K29" s="31"/>
      <c r="L29" s="31"/>
      <c r="M29" s="30"/>
      <c r="N29" s="2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72">
        <v>5000.0</v>
      </c>
      <c r="B30" s="33" t="s">
        <v>41</v>
      </c>
      <c r="C30" s="73">
        <v>390100.0</v>
      </c>
      <c r="D30" s="74"/>
      <c r="E30" s="35"/>
      <c r="F30" s="19"/>
      <c r="G30" s="19"/>
      <c r="H30" s="19"/>
      <c r="I30" s="19"/>
      <c r="J30" s="19"/>
      <c r="K30" s="19"/>
      <c r="L30" s="19"/>
      <c r="M30" s="44"/>
      <c r="N30" s="75" t="s">
        <v>42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72">
        <v>5001.0</v>
      </c>
      <c r="B31" s="33" t="s">
        <v>43</v>
      </c>
      <c r="C31" s="73">
        <v>1387137.5</v>
      </c>
      <c r="D31" s="34"/>
      <c r="E31" s="76"/>
      <c r="F31" s="19"/>
      <c r="G31" s="19"/>
      <c r="H31" s="19"/>
      <c r="I31" s="19"/>
      <c r="J31" s="19"/>
      <c r="K31" s="19"/>
      <c r="L31" s="19"/>
      <c r="M31" s="44"/>
      <c r="N31" s="75" t="s">
        <v>44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32">
        <v>5007.0</v>
      </c>
      <c r="B32" s="33" t="s">
        <v>45</v>
      </c>
      <c r="C32" s="73">
        <v>708796.5</v>
      </c>
      <c r="D32" s="34">
        <f>C32</f>
        <v>708796.5</v>
      </c>
      <c r="E32" s="35"/>
      <c r="F32" s="19"/>
      <c r="G32" s="19"/>
      <c r="H32" s="19"/>
      <c r="I32" s="19"/>
      <c r="J32" s="77">
        <v>71000.0</v>
      </c>
      <c r="K32" s="78">
        <f>C32-J32+29234</f>
        <v>667030.5</v>
      </c>
      <c r="L32" s="19"/>
      <c r="M32" s="44"/>
      <c r="N32" s="75" t="s">
        <v>46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32">
        <v>5020.0</v>
      </c>
      <c r="B33" s="33" t="s">
        <v>47</v>
      </c>
      <c r="C33" s="38">
        <f>C31*0.12+C30*0.12</f>
        <v>213268.5</v>
      </c>
      <c r="D33" s="74"/>
      <c r="E33" s="35"/>
      <c r="F33" s="19"/>
      <c r="G33" s="19"/>
      <c r="H33" s="19"/>
      <c r="I33" s="19"/>
      <c r="J33" s="19"/>
      <c r="K33" s="19"/>
      <c r="L33" s="19"/>
      <c r="M33" s="44"/>
      <c r="N33" s="37" t="s">
        <v>48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72">
        <v>5400.0</v>
      </c>
      <c r="B34" s="33" t="s">
        <v>49</v>
      </c>
      <c r="C34" s="38">
        <f>C31*0.141+C30*0.141</f>
        <v>250590.4875</v>
      </c>
      <c r="D34" s="74"/>
      <c r="E34" s="35"/>
      <c r="F34" s="19"/>
      <c r="G34" s="19"/>
      <c r="H34" s="19"/>
      <c r="I34" s="19"/>
      <c r="J34" s="19"/>
      <c r="K34" s="19"/>
      <c r="L34" s="19"/>
      <c r="M34" s="44"/>
      <c r="N34" s="37" t="s">
        <v>50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32">
        <v>5401.0</v>
      </c>
      <c r="B35" s="33" t="s">
        <v>51</v>
      </c>
      <c r="C35" s="38">
        <f>C33*0.141</f>
        <v>30070.8585</v>
      </c>
      <c r="D35" s="74"/>
      <c r="E35" s="35"/>
      <c r="F35" s="19"/>
      <c r="G35" s="19"/>
      <c r="H35" s="19"/>
      <c r="I35" s="19"/>
      <c r="J35" s="19"/>
      <c r="K35" s="19"/>
      <c r="L35" s="19"/>
      <c r="M35" s="44"/>
      <c r="N35" s="37" t="s">
        <v>52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32">
        <v>5915.0</v>
      </c>
      <c r="B36" s="33" t="s">
        <v>53</v>
      </c>
      <c r="C36" s="38">
        <v>70000.0</v>
      </c>
      <c r="D36" s="79">
        <v>46500.0</v>
      </c>
      <c r="E36" s="35"/>
      <c r="F36" s="80">
        <v>24500.0</v>
      </c>
      <c r="G36" s="80">
        <v>12500.0</v>
      </c>
      <c r="H36" s="81">
        <v>9500.0</v>
      </c>
      <c r="I36" s="35"/>
      <c r="J36" s="35"/>
      <c r="K36" s="19"/>
      <c r="L36" s="19"/>
      <c r="M36" s="44"/>
      <c r="N36" s="37" t="s">
        <v>54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82">
        <v>5945.0</v>
      </c>
      <c r="B37" s="33" t="s">
        <v>55</v>
      </c>
      <c r="C37" s="38">
        <f>C31*0.02+C30*0.02</f>
        <v>35544.75</v>
      </c>
      <c r="D37" s="34"/>
      <c r="E37" s="35"/>
      <c r="F37" s="19"/>
      <c r="G37" s="19"/>
      <c r="H37" s="19"/>
      <c r="I37" s="19"/>
      <c r="J37" s="19"/>
      <c r="K37" s="19"/>
      <c r="L37" s="19"/>
      <c r="M37" s="44"/>
      <c r="N37" s="37" t="s">
        <v>56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26.25" customHeight="1">
      <c r="A38" s="32">
        <v>5990.0</v>
      </c>
      <c r="B38" s="33" t="s">
        <v>57</v>
      </c>
      <c r="C38" s="38">
        <f>165000</f>
        <v>165000</v>
      </c>
      <c r="D38" s="73">
        <v>110000.0</v>
      </c>
      <c r="E38" s="83">
        <v>17000.0</v>
      </c>
      <c r="F38" s="80">
        <v>58000.0</v>
      </c>
      <c r="G38" s="80">
        <v>20000.0</v>
      </c>
      <c r="H38" s="80">
        <v>18500.0</v>
      </c>
      <c r="I38" s="35"/>
      <c r="J38" s="80">
        <v>6500.0</v>
      </c>
      <c r="K38" s="35"/>
      <c r="L38" s="35"/>
      <c r="M38" s="36"/>
      <c r="N38" s="37" t="s">
        <v>58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27.0" customHeight="1">
      <c r="A39" s="72">
        <v>5992.0</v>
      </c>
      <c r="B39" s="33" t="s">
        <v>59</v>
      </c>
      <c r="C39" s="34">
        <v>550000.0</v>
      </c>
      <c r="D39" s="73">
        <v>200000.0</v>
      </c>
      <c r="E39" s="83"/>
      <c r="F39" s="35">
        <v>35000.0</v>
      </c>
      <c r="G39" s="35">
        <v>20000.0</v>
      </c>
      <c r="H39" s="35">
        <v>20000.0</v>
      </c>
      <c r="I39" s="35"/>
      <c r="J39" s="35">
        <v>8000.0</v>
      </c>
      <c r="K39" s="35">
        <v>170000.0</v>
      </c>
      <c r="L39" s="35">
        <v>100000.0</v>
      </c>
      <c r="M39" s="84">
        <v>150000.0</v>
      </c>
      <c r="N39" s="37" t="s">
        <v>60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26.25" customHeight="1">
      <c r="A40" s="72">
        <v>5993.0</v>
      </c>
      <c r="B40" s="33" t="s">
        <v>61</v>
      </c>
      <c r="C40" s="34">
        <f>38000</f>
        <v>38000</v>
      </c>
      <c r="D40" s="79">
        <v>18000.0</v>
      </c>
      <c r="E40" s="83">
        <v>6000.0</v>
      </c>
      <c r="F40" s="35">
        <v>4000.0</v>
      </c>
      <c r="G40" s="35">
        <v>3000.0</v>
      </c>
      <c r="H40" s="80">
        <v>6000.0</v>
      </c>
      <c r="I40" s="35">
        <v>6000.0</v>
      </c>
      <c r="J40" s="35"/>
      <c r="K40" s="35"/>
      <c r="L40" s="35"/>
      <c r="M40" s="36"/>
      <c r="N40" s="37" t="s">
        <v>62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85">
        <v>5995.0</v>
      </c>
      <c r="B41" s="16" t="s">
        <v>63</v>
      </c>
      <c r="C41" s="55">
        <v>5000.0</v>
      </c>
      <c r="D41" s="86"/>
      <c r="E41" s="87">
        <v>2000.0</v>
      </c>
      <c r="F41" s="56">
        <v>1000.0</v>
      </c>
      <c r="G41" s="56">
        <v>1000.0</v>
      </c>
      <c r="H41" s="56">
        <v>1000.0</v>
      </c>
      <c r="I41" s="56"/>
      <c r="J41" s="18"/>
      <c r="K41" s="18"/>
      <c r="L41" s="18"/>
      <c r="M41" s="20"/>
      <c r="N41" s="21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28"/>
      <c r="B42" s="29" t="s">
        <v>64</v>
      </c>
      <c r="C42" s="50">
        <f t="shared" ref="C42:D42" si="4">SUM(C30:C41)</f>
        <v>3843508.596</v>
      </c>
      <c r="D42" s="50">
        <f t="shared" si="4"/>
        <v>1083296.5</v>
      </c>
      <c r="E42" s="51"/>
      <c r="F42" s="51"/>
      <c r="G42" s="51"/>
      <c r="H42" s="51"/>
      <c r="I42" s="51"/>
      <c r="J42" s="51"/>
      <c r="K42" s="88"/>
      <c r="L42" s="52"/>
      <c r="M42" s="50"/>
      <c r="N42" s="2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15"/>
      <c r="B43" s="16"/>
      <c r="C43" s="17"/>
      <c r="D43" s="17"/>
      <c r="E43" s="18"/>
      <c r="F43" s="18"/>
      <c r="G43" s="18"/>
      <c r="H43" s="18"/>
      <c r="I43" s="18"/>
      <c r="J43" s="18"/>
      <c r="K43" s="89"/>
      <c r="L43" s="18"/>
      <c r="M43" s="20"/>
      <c r="N43" s="2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28"/>
      <c r="B44" s="29" t="s">
        <v>65</v>
      </c>
      <c r="C44" s="30"/>
      <c r="D44" s="30"/>
      <c r="E44" s="31"/>
      <c r="F44" s="31"/>
      <c r="G44" s="31"/>
      <c r="H44" s="31"/>
      <c r="I44" s="31"/>
      <c r="J44" s="31"/>
      <c r="K44" s="90"/>
      <c r="L44" s="53"/>
      <c r="M44" s="30"/>
      <c r="N44" s="2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32">
        <v>6017.0</v>
      </c>
      <c r="B45" s="33" t="s">
        <v>66</v>
      </c>
      <c r="C45" s="91">
        <v>280000.0</v>
      </c>
      <c r="D45" s="91"/>
      <c r="E45" s="92"/>
      <c r="F45" s="19"/>
      <c r="G45" s="19"/>
      <c r="H45" s="19"/>
      <c r="I45" s="19"/>
      <c r="J45" s="19"/>
      <c r="K45" s="93"/>
      <c r="L45" s="19"/>
      <c r="M45" s="44"/>
      <c r="N45" s="37" t="s">
        <v>67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54">
        <v>6020.0</v>
      </c>
      <c r="B46" s="16" t="s">
        <v>68</v>
      </c>
      <c r="C46" s="94">
        <v>25000.0</v>
      </c>
      <c r="D46" s="94"/>
      <c r="E46" s="56"/>
      <c r="F46" s="18"/>
      <c r="G46" s="18"/>
      <c r="H46" s="18"/>
      <c r="I46" s="18"/>
      <c r="J46" s="18"/>
      <c r="K46" s="19"/>
      <c r="L46" s="19"/>
      <c r="M46" s="20"/>
      <c r="N46" s="21" t="s">
        <v>69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28"/>
      <c r="B47" s="29" t="s">
        <v>70</v>
      </c>
      <c r="C47" s="50">
        <f t="shared" ref="C47:D47" si="5">SUM(C45+C46)</f>
        <v>305000</v>
      </c>
      <c r="D47" s="50">
        <f t="shared" si="5"/>
        <v>0</v>
      </c>
      <c r="E47" s="51"/>
      <c r="F47" s="51"/>
      <c r="G47" s="51"/>
      <c r="H47" s="51"/>
      <c r="I47" s="51"/>
      <c r="J47" s="51"/>
      <c r="K47" s="52"/>
      <c r="L47" s="52"/>
      <c r="M47" s="50"/>
      <c r="N47" s="21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15"/>
      <c r="B48" s="16"/>
      <c r="C48" s="17"/>
      <c r="D48" s="17"/>
      <c r="E48" s="18"/>
      <c r="F48" s="18"/>
      <c r="G48" s="18"/>
      <c r="H48" s="18"/>
      <c r="I48" s="18"/>
      <c r="J48" s="18"/>
      <c r="K48" s="19"/>
      <c r="L48" s="19"/>
      <c r="M48" s="20"/>
      <c r="N48" s="2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28"/>
      <c r="B49" s="29" t="s">
        <v>71</v>
      </c>
      <c r="C49" s="30"/>
      <c r="D49" s="30"/>
      <c r="E49" s="31"/>
      <c r="F49" s="31"/>
      <c r="G49" s="31"/>
      <c r="H49" s="31"/>
      <c r="I49" s="31"/>
      <c r="J49" s="31"/>
      <c r="K49" s="53"/>
      <c r="L49" s="53"/>
      <c r="M49" s="30"/>
      <c r="N49" s="21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72">
        <v>6360.0</v>
      </c>
      <c r="B50" s="33" t="s">
        <v>72</v>
      </c>
      <c r="C50" s="34">
        <v>2500.0</v>
      </c>
      <c r="D50" s="34"/>
      <c r="E50" s="35"/>
      <c r="F50" s="19"/>
      <c r="G50" s="19"/>
      <c r="H50" s="19"/>
      <c r="I50" s="19"/>
      <c r="J50" s="19"/>
      <c r="K50" s="19"/>
      <c r="L50" s="19"/>
      <c r="M50" s="44"/>
      <c r="N50" s="37" t="s">
        <v>73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72">
        <v>6420.0</v>
      </c>
      <c r="B51" s="33" t="s">
        <v>74</v>
      </c>
      <c r="C51" s="95">
        <v>65000.0</v>
      </c>
      <c r="D51" s="95">
        <f>C51</f>
        <v>65000</v>
      </c>
      <c r="E51" s="35"/>
      <c r="F51" s="19"/>
      <c r="G51" s="19"/>
      <c r="H51" s="19"/>
      <c r="I51" s="19"/>
      <c r="J51" s="19"/>
      <c r="K51" s="19"/>
      <c r="L51" s="19"/>
      <c r="M51" s="44"/>
      <c r="N51" s="37" t="s">
        <v>75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72">
        <v>6540.0</v>
      </c>
      <c r="B52" s="33" t="s">
        <v>76</v>
      </c>
      <c r="C52" s="79">
        <v>15000.0</v>
      </c>
      <c r="D52" s="79">
        <v>10000.0</v>
      </c>
      <c r="E52" s="35">
        <v>10000.0</v>
      </c>
      <c r="F52" s="35"/>
      <c r="G52" s="35"/>
      <c r="H52" s="19"/>
      <c r="I52" s="35"/>
      <c r="J52" s="19"/>
      <c r="K52" s="19"/>
      <c r="L52" s="19"/>
      <c r="M52" s="44"/>
      <c r="N52" s="37" t="s">
        <v>77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72">
        <v>6550.0</v>
      </c>
      <c r="B53" s="33" t="s">
        <v>78</v>
      </c>
      <c r="C53" s="34">
        <v>5000.0</v>
      </c>
      <c r="D53" s="34">
        <f>C53</f>
        <v>5000</v>
      </c>
      <c r="E53" s="35">
        <v>5000.0</v>
      </c>
      <c r="F53" s="19"/>
      <c r="G53" s="19"/>
      <c r="H53" s="19"/>
      <c r="I53" s="19"/>
      <c r="J53" s="19"/>
      <c r="K53" s="19"/>
      <c r="L53" s="19"/>
      <c r="M53" s="44"/>
      <c r="N53" s="37" t="s">
        <v>79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32">
        <v>6570.0</v>
      </c>
      <c r="B54" s="33" t="s">
        <v>80</v>
      </c>
      <c r="C54" s="34">
        <v>35000.0</v>
      </c>
      <c r="D54" s="34">
        <v>7000.0</v>
      </c>
      <c r="E54" s="83"/>
      <c r="F54" s="19"/>
      <c r="G54" s="19"/>
      <c r="H54" s="19"/>
      <c r="I54" s="19"/>
      <c r="J54" s="35"/>
      <c r="K54" s="19">
        <v>30000.0</v>
      </c>
      <c r="L54" s="19"/>
      <c r="M54" s="44"/>
      <c r="N54" s="37" t="s">
        <v>81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32">
        <v>6600.0</v>
      </c>
      <c r="B55" s="33" t="s">
        <v>82</v>
      </c>
      <c r="C55" s="79">
        <v>450000.0</v>
      </c>
      <c r="D55" s="34">
        <f>C55</f>
        <v>450000</v>
      </c>
      <c r="E55" s="19">
        <v>450000.0</v>
      </c>
      <c r="F55" s="19"/>
      <c r="G55" s="19"/>
      <c r="H55" s="19"/>
      <c r="I55" s="19"/>
      <c r="J55" s="19"/>
      <c r="K55" s="19"/>
      <c r="L55" s="19"/>
      <c r="M55" s="44"/>
      <c r="N55" s="37" t="s">
        <v>83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32">
        <v>6701.0</v>
      </c>
      <c r="B56" s="33" t="s">
        <v>84</v>
      </c>
      <c r="C56" s="34">
        <v>57000.0</v>
      </c>
      <c r="D56" s="34"/>
      <c r="E56" s="35">
        <v>57000.0</v>
      </c>
      <c r="F56" s="19"/>
      <c r="G56" s="19"/>
      <c r="H56" s="19"/>
      <c r="I56" s="19"/>
      <c r="J56" s="19"/>
      <c r="K56" s="19"/>
      <c r="L56" s="19"/>
      <c r="M56" s="44"/>
      <c r="N56" s="37" t="s">
        <v>85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32">
        <v>6705.0</v>
      </c>
      <c r="B57" s="33" t="s">
        <v>86</v>
      </c>
      <c r="C57" s="34">
        <v>247000.0</v>
      </c>
      <c r="D57" s="34"/>
      <c r="E57" s="35">
        <v>247000.0</v>
      </c>
      <c r="F57" s="19"/>
      <c r="G57" s="19"/>
      <c r="H57" s="19"/>
      <c r="I57" s="19"/>
      <c r="J57" s="19"/>
      <c r="K57" s="19"/>
      <c r="L57" s="19"/>
      <c r="M57" s="44"/>
      <c r="N57" s="37" t="s">
        <v>85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32">
        <v>6800.0</v>
      </c>
      <c r="B58" s="33" t="s">
        <v>87</v>
      </c>
      <c r="C58" s="34">
        <v>3000.0</v>
      </c>
      <c r="D58" s="34">
        <f t="shared" ref="D58:D59" si="6">C58</f>
        <v>3000</v>
      </c>
      <c r="E58" s="35">
        <v>3000.0</v>
      </c>
      <c r="F58" s="19"/>
      <c r="H58" s="19"/>
      <c r="I58" s="19"/>
      <c r="J58" s="19"/>
      <c r="K58" s="19"/>
      <c r="L58" s="19"/>
      <c r="M58" s="44"/>
      <c r="N58" s="37" t="s">
        <v>88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32">
        <v>6810.0</v>
      </c>
      <c r="B59" s="33" t="s">
        <v>89</v>
      </c>
      <c r="C59" s="34">
        <f>15000+10000</f>
        <v>25000</v>
      </c>
      <c r="D59" s="34">
        <f t="shared" si="6"/>
        <v>25000</v>
      </c>
      <c r="E59" s="35"/>
      <c r="F59" s="19"/>
      <c r="G59" s="19"/>
      <c r="H59" s="19"/>
      <c r="I59" s="19"/>
      <c r="J59" s="19"/>
      <c r="K59" s="19"/>
      <c r="L59" s="19"/>
      <c r="M59" s="44"/>
      <c r="N59" s="37" t="s">
        <v>90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32">
        <v>6860.0</v>
      </c>
      <c r="B60" s="33" t="s">
        <v>91</v>
      </c>
      <c r="C60" s="34">
        <f>42000</f>
        <v>42000</v>
      </c>
      <c r="D60" s="34">
        <v>20000.0</v>
      </c>
      <c r="E60" s="35">
        <v>20000.0</v>
      </c>
      <c r="F60" s="19"/>
      <c r="G60" s="19"/>
      <c r="H60" s="19"/>
      <c r="I60" s="19"/>
      <c r="J60" s="19"/>
      <c r="K60" s="35">
        <v>20000.0</v>
      </c>
      <c r="L60" s="35"/>
      <c r="M60" s="36"/>
      <c r="N60" s="37" t="s">
        <v>92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72">
        <v>6900.0</v>
      </c>
      <c r="B61" s="33" t="s">
        <v>93</v>
      </c>
      <c r="C61" s="34">
        <v>3000.0</v>
      </c>
      <c r="D61" s="34"/>
      <c r="E61" s="35">
        <v>3000.0</v>
      </c>
      <c r="F61" s="19"/>
      <c r="G61" s="19"/>
      <c r="H61" s="19"/>
      <c r="I61" s="19"/>
      <c r="J61" s="19"/>
      <c r="K61" s="19"/>
      <c r="L61" s="19"/>
      <c r="M61" s="44"/>
      <c r="N61" s="37" t="s">
        <v>94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32">
        <v>7140.0</v>
      </c>
      <c r="B62" s="33" t="s">
        <v>95</v>
      </c>
      <c r="C62" s="34">
        <v>50000.0</v>
      </c>
      <c r="D62" s="34">
        <v>25000.0</v>
      </c>
      <c r="E62" s="35">
        <v>10000.0</v>
      </c>
      <c r="F62" s="19"/>
      <c r="G62" s="19"/>
      <c r="H62" s="19"/>
      <c r="I62" s="19"/>
      <c r="J62" s="19"/>
      <c r="K62" s="35">
        <v>40000.0</v>
      </c>
      <c r="L62" s="35"/>
      <c r="M62" s="36"/>
      <c r="N62" s="37" t="s">
        <v>96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32">
        <v>7320.0</v>
      </c>
      <c r="B63" s="33" t="s">
        <v>97</v>
      </c>
      <c r="C63" s="34">
        <v>30000.0</v>
      </c>
      <c r="D63" s="34">
        <v>15000.0</v>
      </c>
      <c r="E63" s="96"/>
      <c r="F63" s="35"/>
      <c r="G63" s="19"/>
      <c r="H63" s="35"/>
      <c r="I63" s="19"/>
      <c r="J63" s="35"/>
      <c r="K63" s="35"/>
      <c r="L63" s="35"/>
      <c r="M63" s="36"/>
      <c r="N63" s="37" t="s">
        <v>98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97">
        <v>7400.0</v>
      </c>
      <c r="B64" s="33" t="s">
        <v>99</v>
      </c>
      <c r="C64" s="34">
        <v>37000.0</v>
      </c>
      <c r="D64" s="34">
        <f>C64</f>
        <v>37000</v>
      </c>
      <c r="E64" s="35"/>
      <c r="F64" s="19"/>
      <c r="G64" s="19"/>
      <c r="H64" s="19"/>
      <c r="I64" s="19"/>
      <c r="J64" s="19"/>
      <c r="K64" s="19"/>
      <c r="L64" s="19"/>
      <c r="M64" s="44"/>
      <c r="N64" s="37" t="s">
        <v>100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72">
        <v>7420.0</v>
      </c>
      <c r="B65" s="33" t="s">
        <v>101</v>
      </c>
      <c r="C65" s="34">
        <v>10000.0</v>
      </c>
      <c r="D65" s="34"/>
      <c r="E65" s="19"/>
      <c r="F65" s="19"/>
      <c r="G65" s="19"/>
      <c r="H65" s="19"/>
      <c r="I65" s="19"/>
      <c r="J65" s="19"/>
      <c r="K65" s="35"/>
      <c r="L65" s="35"/>
      <c r="M65" s="36"/>
      <c r="N65" s="37" t="s">
        <v>102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32">
        <v>7500.0</v>
      </c>
      <c r="B66" s="33" t="s">
        <v>103</v>
      </c>
      <c r="C66" s="38">
        <v>50000.0</v>
      </c>
      <c r="D66" s="79">
        <v>50000.0</v>
      </c>
      <c r="E66" s="35"/>
      <c r="F66" s="19"/>
      <c r="G66" s="19"/>
      <c r="H66" s="19"/>
      <c r="I66" s="19"/>
      <c r="J66" s="19"/>
      <c r="K66" s="19"/>
      <c r="L66" s="19"/>
      <c r="M66" s="44"/>
      <c r="N66" s="37" t="s">
        <v>104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32">
        <v>7600.0</v>
      </c>
      <c r="B67" s="33" t="s">
        <v>105</v>
      </c>
      <c r="C67" s="34">
        <v>15000.0</v>
      </c>
      <c r="D67" s="34"/>
      <c r="E67" s="35"/>
      <c r="F67" s="19"/>
      <c r="G67" s="19"/>
      <c r="H67" s="19"/>
      <c r="I67" s="19"/>
      <c r="J67" s="19"/>
      <c r="K67" s="19"/>
      <c r="L67" s="19"/>
      <c r="M67" s="44"/>
      <c r="N67" s="37" t="s">
        <v>106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32">
        <v>7622.0</v>
      </c>
      <c r="B68" s="33" t="s">
        <v>107</v>
      </c>
      <c r="C68" s="34">
        <f>SUM(C69+C70+C71)</f>
        <v>390000</v>
      </c>
      <c r="D68" s="34">
        <f>C68</f>
        <v>390000</v>
      </c>
      <c r="E68" s="35"/>
      <c r="F68" s="19"/>
      <c r="G68" s="19"/>
      <c r="H68" s="19"/>
      <c r="I68" s="19"/>
      <c r="J68" s="19"/>
      <c r="K68" s="19"/>
      <c r="L68" s="19"/>
      <c r="M68" s="44"/>
      <c r="N68" s="37" t="s">
        <v>108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39" t="s">
        <v>109</v>
      </c>
      <c r="C69" s="41">
        <v>170000.0</v>
      </c>
      <c r="D69" s="41"/>
      <c r="E69" s="42"/>
      <c r="F69" s="19"/>
      <c r="G69" s="19"/>
      <c r="H69" s="19"/>
      <c r="I69" s="19"/>
      <c r="J69" s="19"/>
      <c r="K69" s="19"/>
      <c r="L69" s="19"/>
      <c r="M69" s="44"/>
      <c r="N69" s="37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39" t="s">
        <v>110</v>
      </c>
      <c r="C70" s="98">
        <v>120000.0</v>
      </c>
      <c r="D70" s="41"/>
      <c r="E70" s="42"/>
      <c r="F70" s="19"/>
      <c r="G70" s="19"/>
      <c r="H70" s="19"/>
      <c r="I70" s="19"/>
      <c r="J70" s="19"/>
      <c r="K70" s="19"/>
      <c r="L70" s="19"/>
      <c r="M70" s="44"/>
      <c r="N70" s="37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39" t="s">
        <v>111</v>
      </c>
      <c r="C71" s="98">
        <v>100000.0</v>
      </c>
      <c r="D71" s="41"/>
      <c r="E71" s="42"/>
      <c r="F71" s="19"/>
      <c r="G71" s="19"/>
      <c r="H71" s="19"/>
      <c r="I71" s="19"/>
      <c r="J71" s="19"/>
      <c r="K71" s="19"/>
      <c r="L71" s="19"/>
      <c r="M71" s="44"/>
      <c r="N71" s="37" t="s">
        <v>112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32">
        <v>7630.0</v>
      </c>
      <c r="B72" s="33" t="s">
        <v>113</v>
      </c>
      <c r="C72" s="34">
        <f>524000*1.03</f>
        <v>539720</v>
      </c>
      <c r="D72" s="79">
        <v>350000.0</v>
      </c>
      <c r="E72" s="96"/>
      <c r="F72" s="19"/>
      <c r="G72" s="19"/>
      <c r="H72" s="35">
        <v>75000.0</v>
      </c>
      <c r="I72" s="19"/>
      <c r="J72" s="35">
        <v>300000.0</v>
      </c>
      <c r="K72" s="35"/>
      <c r="L72" s="35"/>
      <c r="M72" s="36"/>
      <c r="N72" s="37" t="s">
        <v>114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72">
        <v>7637.0</v>
      </c>
      <c r="B73" s="33" t="s">
        <v>115</v>
      </c>
      <c r="C73" s="79">
        <v>910000.0</v>
      </c>
      <c r="D73" s="79">
        <v>470000.0</v>
      </c>
      <c r="E73" s="96"/>
      <c r="F73" s="35">
        <v>3000.0</v>
      </c>
      <c r="G73" s="35"/>
      <c r="H73" s="35">
        <v>215000.0</v>
      </c>
      <c r="I73" s="35"/>
      <c r="J73" s="35">
        <f>590000-200000</f>
        <v>390000</v>
      </c>
      <c r="K73" s="19"/>
      <c r="L73" s="19"/>
      <c r="M73" s="44"/>
      <c r="N73" s="37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99">
        <v>7770.0</v>
      </c>
      <c r="B74" s="100" t="s">
        <v>116</v>
      </c>
      <c r="C74" s="55">
        <v>8500.0</v>
      </c>
      <c r="D74" s="55">
        <v>8500.0</v>
      </c>
      <c r="E74" s="56"/>
      <c r="F74" s="18"/>
      <c r="G74" s="18"/>
      <c r="H74" s="18"/>
      <c r="I74" s="18"/>
      <c r="J74" s="18"/>
      <c r="K74" s="19"/>
      <c r="L74" s="19"/>
      <c r="M74" s="20"/>
      <c r="N74" s="21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28"/>
      <c r="B75" s="29" t="s">
        <v>117</v>
      </c>
      <c r="C75" s="50">
        <f t="shared" ref="C75:D75" si="7">SUM(C50:C68)+C72+C73+C74</f>
        <v>2989720</v>
      </c>
      <c r="D75" s="50">
        <f t="shared" si="7"/>
        <v>1930500</v>
      </c>
      <c r="E75" s="51"/>
      <c r="F75" s="51"/>
      <c r="G75" s="51"/>
      <c r="H75" s="51"/>
      <c r="I75" s="51"/>
      <c r="J75" s="51"/>
      <c r="K75" s="101"/>
      <c r="L75" s="52"/>
      <c r="M75" s="50"/>
      <c r="N75" s="2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15"/>
      <c r="B76" s="16"/>
      <c r="C76" s="17"/>
      <c r="D76" s="17"/>
      <c r="E76" s="18"/>
      <c r="F76" s="18"/>
      <c r="G76" s="18"/>
      <c r="H76" s="18"/>
      <c r="I76" s="18"/>
      <c r="J76" s="18"/>
      <c r="K76" s="93"/>
      <c r="L76" s="19"/>
      <c r="M76" s="20"/>
      <c r="N76" s="21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22"/>
      <c r="B77" s="57" t="s">
        <v>118</v>
      </c>
      <c r="C77" s="58">
        <f t="shared" ref="C77:D77" si="8">C42+C47+C75</f>
        <v>7138228.596</v>
      </c>
      <c r="D77" s="58">
        <f t="shared" si="8"/>
        <v>3013796.5</v>
      </c>
      <c r="E77" s="59"/>
      <c r="F77" s="59"/>
      <c r="G77" s="59"/>
      <c r="H77" s="59"/>
      <c r="I77" s="59"/>
      <c r="J77" s="59"/>
      <c r="K77" s="60"/>
      <c r="L77" s="60"/>
      <c r="M77" s="58"/>
      <c r="N77" s="27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15"/>
      <c r="B78" s="16"/>
      <c r="C78" s="17"/>
      <c r="D78" s="17"/>
      <c r="E78" s="18"/>
      <c r="F78" s="18"/>
      <c r="G78" s="18"/>
      <c r="H78" s="18"/>
      <c r="I78" s="18"/>
      <c r="J78" s="18"/>
      <c r="K78" s="19"/>
      <c r="L78" s="19"/>
      <c r="M78" s="20"/>
      <c r="N78" s="21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102"/>
      <c r="B79" s="103" t="s">
        <v>119</v>
      </c>
      <c r="C79" s="104">
        <f t="shared" ref="C79:D79" si="9">C21-C77+C26</f>
        <v>-4797.38024</v>
      </c>
      <c r="D79" s="104">
        <f t="shared" si="9"/>
        <v>1203.5</v>
      </c>
      <c r="E79" s="105"/>
      <c r="F79" s="105"/>
      <c r="G79" s="105"/>
      <c r="H79" s="105"/>
      <c r="I79" s="105"/>
      <c r="J79" s="105"/>
      <c r="K79" s="106"/>
      <c r="L79" s="105"/>
      <c r="M79" s="104"/>
      <c r="N79" s="107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15"/>
      <c r="B80" s="16"/>
      <c r="C80" s="17"/>
      <c r="D80" s="17"/>
      <c r="E80" s="18"/>
      <c r="F80" s="18"/>
      <c r="G80" s="18"/>
      <c r="H80" s="18"/>
      <c r="I80" s="18"/>
      <c r="J80" s="18"/>
      <c r="K80" s="19"/>
      <c r="L80" s="19"/>
      <c r="M80" s="20"/>
      <c r="N80" s="21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22"/>
      <c r="B81" s="23" t="s">
        <v>120</v>
      </c>
      <c r="C81" s="24"/>
      <c r="D81" s="24"/>
      <c r="E81" s="25"/>
      <c r="F81" s="25"/>
      <c r="G81" s="25"/>
      <c r="H81" s="25"/>
      <c r="I81" s="25"/>
      <c r="J81" s="25"/>
      <c r="K81" s="26"/>
      <c r="L81" s="26"/>
      <c r="M81" s="24"/>
      <c r="N81" s="27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28"/>
      <c r="B82" s="29" t="s">
        <v>121</v>
      </c>
      <c r="C82" s="30"/>
      <c r="D82" s="30"/>
      <c r="E82" s="31"/>
      <c r="F82" s="31"/>
      <c r="G82" s="31"/>
      <c r="H82" s="31"/>
      <c r="I82" s="31"/>
      <c r="J82" s="31"/>
      <c r="K82" s="90"/>
      <c r="L82" s="90"/>
      <c r="M82" s="30"/>
      <c r="N82" s="21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54">
        <v>8155.0</v>
      </c>
      <c r="B83" s="16" t="s">
        <v>122</v>
      </c>
      <c r="C83" s="55">
        <v>500.0</v>
      </c>
      <c r="D83" s="55"/>
      <c r="E83" s="56"/>
      <c r="F83" s="18"/>
      <c r="G83" s="18"/>
      <c r="H83" s="18"/>
      <c r="I83" s="18"/>
      <c r="J83" s="18"/>
      <c r="K83" s="89"/>
      <c r="L83" s="89"/>
      <c r="M83" s="20"/>
      <c r="N83" s="21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28"/>
      <c r="B84" s="29" t="s">
        <v>123</v>
      </c>
      <c r="C84" s="50">
        <f t="shared" ref="C84:D84" si="10">SUM(C83)</f>
        <v>500</v>
      </c>
      <c r="D84" s="50">
        <f t="shared" si="10"/>
        <v>0</v>
      </c>
      <c r="E84" s="51"/>
      <c r="F84" s="51"/>
      <c r="G84" s="51"/>
      <c r="H84" s="51"/>
      <c r="I84" s="51"/>
      <c r="J84" s="51"/>
      <c r="K84" s="88"/>
      <c r="L84" s="88"/>
      <c r="M84" s="50"/>
      <c r="N84" s="21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15"/>
      <c r="B85" s="16"/>
      <c r="C85" s="17"/>
      <c r="D85" s="17"/>
      <c r="E85" s="18"/>
      <c r="F85" s="18"/>
      <c r="G85" s="18"/>
      <c r="H85" s="18"/>
      <c r="I85" s="18"/>
      <c r="J85" s="18"/>
      <c r="K85" s="89"/>
      <c r="L85" s="89"/>
      <c r="M85" s="20"/>
      <c r="N85" s="2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102"/>
      <c r="B86" s="103" t="s">
        <v>124</v>
      </c>
      <c r="C86" s="105">
        <f t="shared" ref="C86:D86" si="11">C79+C84</f>
        <v>-4297.38024</v>
      </c>
      <c r="D86" s="105">
        <f t="shared" si="11"/>
        <v>1203.5</v>
      </c>
      <c r="E86" s="102"/>
      <c r="F86" s="102"/>
      <c r="G86" s="102"/>
      <c r="H86" s="102"/>
      <c r="I86" s="102"/>
      <c r="J86" s="102"/>
      <c r="K86" s="108"/>
      <c r="L86" s="108"/>
      <c r="M86" s="109"/>
      <c r="N86" s="107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15"/>
      <c r="B87" s="16"/>
      <c r="C87" s="110"/>
      <c r="D87" s="110"/>
      <c r="E87" s="18"/>
      <c r="F87" s="18"/>
      <c r="G87" s="18"/>
      <c r="H87" s="18"/>
      <c r="I87" s="18"/>
      <c r="J87" s="18"/>
      <c r="K87" s="89"/>
      <c r="L87" s="18"/>
      <c r="M87" s="20"/>
      <c r="N87" s="21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102"/>
      <c r="B88" s="103" t="s">
        <v>125</v>
      </c>
      <c r="C88" s="105">
        <f t="shared" ref="C88:D88" si="12">C86</f>
        <v>-4297.38024</v>
      </c>
      <c r="D88" s="105">
        <f t="shared" si="12"/>
        <v>1203.5</v>
      </c>
      <c r="E88" s="102"/>
      <c r="F88" s="102"/>
      <c r="G88" s="102"/>
      <c r="H88" s="102"/>
      <c r="I88" s="102"/>
      <c r="J88" s="102"/>
      <c r="K88" s="108"/>
      <c r="L88" s="108"/>
      <c r="M88" s="109"/>
      <c r="N88" s="107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15"/>
      <c r="B89" s="16"/>
      <c r="C89" s="110"/>
      <c r="D89" s="110"/>
      <c r="E89" s="18"/>
      <c r="F89" s="18"/>
      <c r="G89" s="18"/>
      <c r="H89" s="18"/>
      <c r="I89" s="18"/>
      <c r="J89" s="18"/>
      <c r="K89" s="89"/>
      <c r="L89" s="18"/>
      <c r="M89" s="20"/>
      <c r="N89" s="21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102"/>
      <c r="B90" s="103" t="s">
        <v>126</v>
      </c>
      <c r="C90" s="105">
        <f t="shared" ref="C90:D90" si="13">C88</f>
        <v>-4297.38024</v>
      </c>
      <c r="D90" s="105">
        <f t="shared" si="13"/>
        <v>1203.5</v>
      </c>
      <c r="E90" s="102"/>
      <c r="F90" s="102"/>
      <c r="G90" s="102"/>
      <c r="H90" s="102"/>
      <c r="I90" s="102"/>
      <c r="J90" s="102"/>
      <c r="K90" s="102"/>
      <c r="L90" s="108"/>
      <c r="M90" s="111"/>
      <c r="N90" s="107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112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A2"/>
    <mergeCell ref="B1:B2"/>
    <mergeCell ref="C1:C2"/>
    <mergeCell ref="D1:D2"/>
    <mergeCell ref="E1:J1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8" ma:contentTypeDescription="Opprett et nytt dokument." ma:contentTypeScope="" ma:versionID="5e4db341cc10049395beff9094b40b10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66bb9e33467155f8d1cbfd2d5bbed269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F45ED-F989-4B0A-AAAE-AC2CCE251FE2}"/>
</file>

<file path=customXml/itemProps2.xml><?xml version="1.0" encoding="utf-8"?>
<ds:datastoreItem xmlns:ds="http://schemas.openxmlformats.org/officeDocument/2006/customXml" ds:itemID="{31398742-1DB0-47F1-BEC4-E8082D39D0B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2024-08-26T12:56:08Z</dcterms:created>
  <dc:creator>Dina Egeberg Sandberg</dc:creator>
</cp:coreProperties>
</file>